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piridonov\Desktop\ПОРУЧЕНИЯ 2024\Внесение ИЗм в ДПТ 7 ОЧЕРЕДИ июнь 24\ППТ_20.06\ТЕКСТ_ППТ\"/>
    </mc:Choice>
  </mc:AlternateContent>
  <xr:revisionPtr revIDLastSave="0" documentId="13_ncr:1_{ADA788B9-251A-40A5-97CC-877BF28A13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Лист1!$A:$M,Лист1!$3:$5</definedName>
    <definedName name="_xlnm.Print_Area" localSheetId="0">Лист1!$A$1:$M$47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G37" i="1"/>
  <c r="F37" i="1"/>
  <c r="E37" i="1"/>
  <c r="C37" i="1"/>
  <c r="K47" i="1"/>
  <c r="M43" i="1"/>
  <c r="F43" i="1"/>
  <c r="G43" i="1"/>
  <c r="J43" i="1" s="1"/>
  <c r="D43" i="1"/>
  <c r="I41" i="1"/>
  <c r="C22" i="1"/>
  <c r="E40" i="1"/>
  <c r="D40" i="1" s="1"/>
  <c r="H37" i="1"/>
  <c r="M39" i="1"/>
  <c r="E39" i="1"/>
  <c r="D39" i="1" s="1"/>
  <c r="M38" i="1"/>
  <c r="F38" i="1"/>
  <c r="G38" i="1" s="1"/>
  <c r="J38" i="1" s="1"/>
  <c r="D38" i="1"/>
  <c r="C27" i="1"/>
  <c r="E22" i="1"/>
  <c r="J22" i="1"/>
  <c r="D23" i="1"/>
  <c r="I9" i="1"/>
  <c r="C6" i="1"/>
  <c r="H29" i="1"/>
  <c r="H27" i="1" s="1"/>
  <c r="E28" i="1"/>
  <c r="E16" i="1"/>
  <c r="E11" i="1"/>
  <c r="E35" i="1"/>
  <c r="E7" i="1"/>
  <c r="K6" i="1"/>
  <c r="M42" i="1"/>
  <c r="M32" i="1"/>
  <c r="K44" i="1"/>
  <c r="K31" i="1"/>
  <c r="L22" i="1"/>
  <c r="K27" i="1"/>
  <c r="K25" i="1"/>
  <c r="K22" i="1"/>
  <c r="L6" i="1"/>
  <c r="M7" i="1"/>
  <c r="H6" i="1"/>
  <c r="I40" i="1" l="1"/>
  <c r="I37" i="1" s="1"/>
  <c r="F23" i="1"/>
  <c r="G23" i="1" s="1"/>
  <c r="E6" i="1"/>
  <c r="M6" i="1"/>
  <c r="E29" i="1"/>
  <c r="D29" i="1" s="1"/>
  <c r="E27" i="1" l="1"/>
  <c r="D27" i="1" s="1"/>
  <c r="E45" i="1"/>
  <c r="F45" i="1" s="1"/>
  <c r="L31" i="1"/>
  <c r="M31" i="1" s="1"/>
  <c r="M45" i="1"/>
  <c r="L44" i="1"/>
  <c r="M44" i="1" s="1"/>
  <c r="M28" i="1"/>
  <c r="M27" i="1" s="1"/>
  <c r="L27" i="1"/>
  <c r="M26" i="1"/>
  <c r="M25" i="1" s="1"/>
  <c r="L25" i="1"/>
  <c r="M23" i="1"/>
  <c r="M22" i="1" s="1"/>
  <c r="J27" i="1"/>
  <c r="J25" i="1"/>
  <c r="F42" i="1"/>
  <c r="D42" i="1"/>
  <c r="F32" i="1"/>
  <c r="F7" i="1"/>
  <c r="F6" i="1" s="1"/>
  <c r="D11" i="1"/>
  <c r="F26" i="1"/>
  <c r="F28" i="1"/>
  <c r="C44" i="1"/>
  <c r="C31" i="1"/>
  <c r="C34" i="1"/>
  <c r="C25" i="1"/>
  <c r="C47" i="1" l="1"/>
  <c r="M47" i="1"/>
  <c r="L47" i="1"/>
  <c r="G42" i="1"/>
  <c r="D16" i="1"/>
  <c r="D6" i="1"/>
  <c r="I11" i="1"/>
  <c r="I16" i="1"/>
  <c r="D37" i="1"/>
  <c r="D45" i="1"/>
  <c r="E44" i="1"/>
  <c r="D44" i="1" s="1"/>
  <c r="I20" i="1"/>
  <c r="G6" i="1"/>
  <c r="G32" i="1"/>
  <c r="F31" i="1"/>
  <c r="F27" i="1"/>
  <c r="G28" i="1"/>
  <c r="G27" i="1" s="1"/>
  <c r="G26" i="1"/>
  <c r="G25" i="1" s="1"/>
  <c r="F25" i="1"/>
  <c r="D13" i="1"/>
  <c r="D26" i="1"/>
  <c r="D28" i="1"/>
  <c r="E25" i="1"/>
  <c r="D32" i="1"/>
  <c r="D22" i="1"/>
  <c r="E31" i="1"/>
  <c r="D31" i="1" s="1"/>
  <c r="G45" i="1"/>
  <c r="F44" i="1"/>
  <c r="D25" i="1" l="1"/>
  <c r="I6" i="1"/>
  <c r="I47" i="1" s="1"/>
  <c r="H36" i="1"/>
  <c r="H34" i="1" s="1"/>
  <c r="H47" i="1" s="1"/>
  <c r="G22" i="1"/>
  <c r="G47" i="1" s="1"/>
  <c r="F22" i="1"/>
  <c r="F47" i="1" s="1"/>
  <c r="D35" i="1"/>
  <c r="E36" i="1"/>
  <c r="D36" i="1" s="1"/>
  <c r="G31" i="1"/>
  <c r="J32" i="1"/>
  <c r="J31" i="1" s="1"/>
  <c r="J7" i="1"/>
  <c r="J6" i="1" s="1"/>
  <c r="J47" i="1" s="1"/>
  <c r="G44" i="1"/>
  <c r="J45" i="1"/>
  <c r="J44" i="1" s="1"/>
  <c r="E34" i="1" l="1"/>
  <c r="E47" i="1" s="1"/>
  <c r="D47" i="1" s="1"/>
  <c r="D34" i="1" l="1"/>
</calcChain>
</file>

<file path=xl/sharedStrings.xml><?xml version="1.0" encoding="utf-8"?>
<sst xmlns="http://schemas.openxmlformats.org/spreadsheetml/2006/main" count="305" uniqueCount="73">
  <si>
    <t>N участка</t>
  </si>
  <si>
    <t>Наименование объекта</t>
  </si>
  <si>
    <t>Площадь территории, га</t>
  </si>
  <si>
    <t>Коэфф. Плотности застройки</t>
  </si>
  <si>
    <t>Жилого назначения</t>
  </si>
  <si>
    <t>Общая площадь жилых этажей</t>
  </si>
  <si>
    <t xml:space="preserve">Коммунального назначения </t>
  </si>
  <si>
    <t>Население, чел.</t>
  </si>
  <si>
    <t>Количество парковочных мест, м/мест</t>
  </si>
  <si>
    <t>-</t>
  </si>
  <si>
    <t>Площадь квартир (К=0,70) для домов без ПСН=0,70)</t>
  </si>
  <si>
    <t>Таблица 1.1</t>
  </si>
  <si>
    <t>Котельная</t>
  </si>
  <si>
    <t>1.1</t>
  </si>
  <si>
    <t>1.3</t>
  </si>
  <si>
    <t>1.4</t>
  </si>
  <si>
    <t>1.5</t>
  </si>
  <si>
    <t>1.6</t>
  </si>
  <si>
    <t>Квартал 2</t>
  </si>
  <si>
    <t>Квартал 3</t>
  </si>
  <si>
    <t>3</t>
  </si>
  <si>
    <t>Квартал 4</t>
  </si>
  <si>
    <t>Квартал 5-1</t>
  </si>
  <si>
    <t>5.1</t>
  </si>
  <si>
    <t>5.2</t>
  </si>
  <si>
    <t>5.3</t>
  </si>
  <si>
    <t>5.4</t>
  </si>
  <si>
    <t>Квартал 5-2</t>
  </si>
  <si>
    <t>Квартал 6</t>
  </si>
  <si>
    <t>6.1</t>
  </si>
  <si>
    <t>6.2</t>
  </si>
  <si>
    <t>Квартал 7</t>
  </si>
  <si>
    <t>7</t>
  </si>
  <si>
    <t>Многоквартирные жилые дома</t>
  </si>
  <si>
    <t>Трансформаторная подстанция</t>
  </si>
  <si>
    <t>Детский сад на 300 мест</t>
  </si>
  <si>
    <t>Бульвары, аллеи, скверы</t>
  </si>
  <si>
    <t>Ливнево-очистное сооружение</t>
  </si>
  <si>
    <t>Общеобразовательное учреждение на 1500 мест</t>
  </si>
  <si>
    <t>Общественного назначения</t>
  </si>
  <si>
    <t xml:space="preserve">Технико-экономические показатели по объекту: Территория 7-ой очереди застройки жилого района «Южный город», расположенный по адресу: Самарская обл. Волжский район,
«МСПП совхоз им. 50-летия СССР»
</t>
  </si>
  <si>
    <t>4.1</t>
  </si>
  <si>
    <t>4.2</t>
  </si>
  <si>
    <t>4.3</t>
  </si>
  <si>
    <t>Итого по 7-й очереди:</t>
  </si>
  <si>
    <t>Территории улично-дорожной сети (7 очередь)</t>
  </si>
  <si>
    <t>Квартал 1</t>
  </si>
  <si>
    <t>1.8</t>
  </si>
  <si>
    <t>1.7</t>
  </si>
  <si>
    <t>Объекты коммунального обслуживания</t>
  </si>
  <si>
    <t>1.13</t>
  </si>
  <si>
    <t>1.9</t>
  </si>
  <si>
    <t>1.10</t>
  </si>
  <si>
    <t>1.11</t>
  </si>
  <si>
    <t>1.12</t>
  </si>
  <si>
    <t>Стоянки и парковки (парковочные места) общего пользования</t>
  </si>
  <si>
    <t>Всего*</t>
  </si>
  <si>
    <t>*Суммарная поэтажная площадь наземной части застройки в г.н.с. ,кв.м</t>
  </si>
  <si>
    <t>*Общая площадь зданий, кв.м</t>
  </si>
  <si>
    <t>* Не является утверждаемым показателем. Приведен в справочных целях.</t>
  </si>
  <si>
    <t>1.2.1</t>
  </si>
  <si>
    <t>1.2.2</t>
  </si>
  <si>
    <t>1.2.3</t>
  </si>
  <si>
    <t>52 200</t>
  </si>
  <si>
    <t>Бульвары, аллеи, скверы, иные объекты благоустройства</t>
  </si>
  <si>
    <t>Проектом предусмотрена возможность размещения дополнительных машино-мест общего пользования в радиусной доступности, согласно требований региональных и местных нормативов градостроительного проектирования, в т.ч. в границах земельного участка с кадастровым номером 63:17:0601001:198.</t>
  </si>
  <si>
    <t>Наземные плоскостные стоянки (в радиусной досупности)*</t>
  </si>
  <si>
    <t>2.1</t>
  </si>
  <si>
    <t>2.2</t>
  </si>
  <si>
    <t>6.3</t>
  </si>
  <si>
    <t>6.4</t>
  </si>
  <si>
    <t>6.5</t>
  </si>
  <si>
    <t>6.6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</si>
</sst>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1" fontId="4" fillId="0" borderId="0" xfId="0" applyNumberFormat="1" applyFont="1"/>
    <xf numFmtId="49" fontId="4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31" zoomScale="115" zoomScaleNormal="115" workbookViewId="0">
      <selection activeCell="O42" sqref="O42"/>
    </sheetView>
  </sheetViews>
  <sheetFormatPr defaultRowHeight="15" x14ac:dyDescent="0.25"/>
  <cols>
    <col min="1" max="1" width="10.42578125" style="7" customWidth="1"/>
    <col min="2" max="2" width="30.140625" style="7" customWidth="1"/>
    <col min="3" max="3" width="15.42578125" style="7" customWidth="1"/>
    <col min="4" max="4" width="10.7109375" style="7" customWidth="1"/>
    <col min="5" max="5" width="15.5703125" style="7" customWidth="1"/>
    <col min="6" max="6" width="9.140625" style="7"/>
    <col min="7" max="7" width="10.5703125" style="7" customWidth="1"/>
    <col min="8" max="8" width="15.42578125" style="7" customWidth="1"/>
    <col min="9" max="9" width="15.140625" style="7" customWidth="1"/>
    <col min="10" max="10" width="10.7109375" style="7" customWidth="1"/>
    <col min="11" max="11" width="12.42578125" style="7" customWidth="1"/>
    <col min="12" max="12" width="11.5703125" style="7" customWidth="1"/>
    <col min="13" max="13" width="9.140625" style="7"/>
  </cols>
  <sheetData>
    <row r="1" spans="1:13" ht="45" customHeight="1" x14ac:dyDescent="0.25">
      <c r="A1" s="48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25">
      <c r="L2" s="50" t="s">
        <v>11</v>
      </c>
      <c r="M2" s="50"/>
    </row>
    <row r="3" spans="1:13" ht="26.25" customHeight="1" x14ac:dyDescent="0.25">
      <c r="A3" s="51" t="s">
        <v>0</v>
      </c>
      <c r="B3" s="51" t="s">
        <v>1</v>
      </c>
      <c r="C3" s="51" t="s">
        <v>2</v>
      </c>
      <c r="D3" s="51" t="s">
        <v>3</v>
      </c>
      <c r="E3" s="51" t="s">
        <v>57</v>
      </c>
      <c r="F3" s="43" t="s">
        <v>58</v>
      </c>
      <c r="G3" s="44"/>
      <c r="H3" s="44"/>
      <c r="I3" s="45"/>
      <c r="J3" s="51" t="s">
        <v>7</v>
      </c>
      <c r="K3" s="43" t="s">
        <v>8</v>
      </c>
      <c r="L3" s="44"/>
      <c r="M3" s="45"/>
    </row>
    <row r="4" spans="1:13" ht="15" customHeight="1" x14ac:dyDescent="0.25">
      <c r="A4" s="51"/>
      <c r="B4" s="51"/>
      <c r="C4" s="51"/>
      <c r="D4" s="51"/>
      <c r="E4" s="51"/>
      <c r="F4" s="43" t="s">
        <v>4</v>
      </c>
      <c r="G4" s="44"/>
      <c r="H4" s="51" t="s">
        <v>39</v>
      </c>
      <c r="I4" s="51" t="s">
        <v>6</v>
      </c>
      <c r="J4" s="51"/>
      <c r="K4" s="51" t="s">
        <v>66</v>
      </c>
      <c r="L4" s="51" t="s">
        <v>55</v>
      </c>
      <c r="M4" s="51" t="s">
        <v>56</v>
      </c>
    </row>
    <row r="5" spans="1:13" ht="87.75" customHeight="1" x14ac:dyDescent="0.25">
      <c r="A5" s="51"/>
      <c r="B5" s="51"/>
      <c r="C5" s="51"/>
      <c r="D5" s="51"/>
      <c r="E5" s="51"/>
      <c r="F5" s="8" t="s">
        <v>5</v>
      </c>
      <c r="G5" s="9" t="s">
        <v>10</v>
      </c>
      <c r="H5" s="51"/>
      <c r="I5" s="51"/>
      <c r="J5" s="51"/>
      <c r="K5" s="51"/>
      <c r="L5" s="51"/>
      <c r="M5" s="51"/>
    </row>
    <row r="6" spans="1:13" ht="24.95" customHeight="1" x14ac:dyDescent="0.25">
      <c r="A6" s="10"/>
      <c r="B6" s="11" t="s">
        <v>46</v>
      </c>
      <c r="C6" s="12">
        <f>SUM(C7:C20)</f>
        <v>10.697000000000001</v>
      </c>
      <c r="D6" s="12">
        <f>E6/C6/10000</f>
        <v>1.2479442834439562</v>
      </c>
      <c r="E6" s="13">
        <f>SUM(E7:E21)</f>
        <v>133492.6</v>
      </c>
      <c r="F6" s="13">
        <f>SUM(F7:F21)</f>
        <v>61974</v>
      </c>
      <c r="G6" s="13">
        <f>SUM(G7:G21)</f>
        <v>65697</v>
      </c>
      <c r="H6" s="13">
        <f>H13</f>
        <v>6501</v>
      </c>
      <c r="I6" s="13">
        <f>SUM(I7:I21)</f>
        <v>1131.6000000000001</v>
      </c>
      <c r="J6" s="13">
        <f>SUM(J7:J21)</f>
        <v>2189.9</v>
      </c>
      <c r="K6" s="13">
        <f>SUM(K7:K21)</f>
        <v>207</v>
      </c>
      <c r="L6" s="14">
        <f>SUM(L7:L21)</f>
        <v>173</v>
      </c>
      <c r="M6" s="14">
        <f>SUM(M7:M21)</f>
        <v>380</v>
      </c>
    </row>
    <row r="7" spans="1:13" ht="24.95" customHeight="1" x14ac:dyDescent="0.25">
      <c r="A7" s="1" t="s">
        <v>13</v>
      </c>
      <c r="B7" s="10" t="s">
        <v>33</v>
      </c>
      <c r="C7" s="3">
        <v>3.1753999999999998</v>
      </c>
      <c r="D7" s="4">
        <v>2.13</v>
      </c>
      <c r="E7" s="5">
        <f>62600*1.1</f>
        <v>68860</v>
      </c>
      <c r="F7" s="5">
        <f>E7*0.9</f>
        <v>61974</v>
      </c>
      <c r="G7" s="5">
        <v>35697</v>
      </c>
      <c r="H7" s="5" t="s">
        <v>9</v>
      </c>
      <c r="I7" s="3" t="s">
        <v>9</v>
      </c>
      <c r="J7" s="5">
        <f>G7/30</f>
        <v>1189.9000000000001</v>
      </c>
      <c r="K7" s="3">
        <v>107</v>
      </c>
      <c r="L7" s="3">
        <v>93</v>
      </c>
      <c r="M7" s="3">
        <f>K7+L7</f>
        <v>200</v>
      </c>
    </row>
    <row r="8" spans="1:13" ht="24.95" customHeight="1" x14ac:dyDescent="0.25">
      <c r="A8" s="1" t="s">
        <v>60</v>
      </c>
      <c r="B8" s="10" t="s">
        <v>33</v>
      </c>
      <c r="C8" s="3">
        <v>2.0950000000000002</v>
      </c>
      <c r="D8" s="4">
        <v>2.7</v>
      </c>
      <c r="E8" s="5">
        <v>57000</v>
      </c>
      <c r="F8" s="5" t="s">
        <v>63</v>
      </c>
      <c r="G8" s="5">
        <v>30000</v>
      </c>
      <c r="H8" s="5" t="s">
        <v>9</v>
      </c>
      <c r="I8" s="3" t="s">
        <v>9</v>
      </c>
      <c r="J8" s="5">
        <v>1000</v>
      </c>
      <c r="K8" s="5">
        <v>100</v>
      </c>
      <c r="L8" s="5">
        <v>80</v>
      </c>
      <c r="M8" s="5">
        <v>180</v>
      </c>
    </row>
    <row r="9" spans="1:13" ht="24.95" customHeight="1" x14ac:dyDescent="0.25">
      <c r="A9" s="1" t="s">
        <v>61</v>
      </c>
      <c r="B9" s="10" t="s">
        <v>34</v>
      </c>
      <c r="C9" s="3">
        <v>5.3E-3</v>
      </c>
      <c r="D9" s="4">
        <v>0.47</v>
      </c>
      <c r="E9" s="5">
        <v>25</v>
      </c>
      <c r="F9" s="5" t="s">
        <v>9</v>
      </c>
      <c r="G9" s="3" t="s">
        <v>9</v>
      </c>
      <c r="H9" s="5" t="s">
        <v>9</v>
      </c>
      <c r="I9" s="5">
        <f>E9</f>
        <v>25</v>
      </c>
      <c r="J9" s="5" t="s">
        <v>9</v>
      </c>
      <c r="K9" s="5" t="s">
        <v>9</v>
      </c>
      <c r="L9" s="5" t="s">
        <v>9</v>
      </c>
      <c r="M9" s="5" t="s">
        <v>9</v>
      </c>
    </row>
    <row r="10" spans="1:13" ht="31.5" customHeight="1" x14ac:dyDescent="0.25">
      <c r="A10" s="1" t="s">
        <v>62</v>
      </c>
      <c r="B10" s="2" t="s">
        <v>64</v>
      </c>
      <c r="C10" s="3">
        <v>0.71699999999999997</v>
      </c>
      <c r="D10" s="4" t="s">
        <v>9</v>
      </c>
      <c r="E10" s="5" t="s">
        <v>9</v>
      </c>
      <c r="F10" s="5" t="s">
        <v>9</v>
      </c>
      <c r="G10" s="5" t="s">
        <v>9</v>
      </c>
      <c r="H10" s="5" t="s">
        <v>9</v>
      </c>
      <c r="I10" s="5" t="s">
        <v>9</v>
      </c>
      <c r="J10" s="5" t="s">
        <v>9</v>
      </c>
      <c r="K10" s="5" t="s">
        <v>9</v>
      </c>
      <c r="L10" s="5" t="s">
        <v>9</v>
      </c>
      <c r="M10" s="5" t="s">
        <v>9</v>
      </c>
    </row>
    <row r="11" spans="1:13" ht="24.95" customHeight="1" x14ac:dyDescent="0.25">
      <c r="A11" s="1" t="s">
        <v>14</v>
      </c>
      <c r="B11" s="10" t="s">
        <v>34</v>
      </c>
      <c r="C11" s="3">
        <v>8.2299999999999998E-2</v>
      </c>
      <c r="D11" s="4">
        <f>E11/C11/10000</f>
        <v>0.11494532199270961</v>
      </c>
      <c r="E11" s="5">
        <f>86*1.1</f>
        <v>94.600000000000009</v>
      </c>
      <c r="F11" s="5" t="s">
        <v>9</v>
      </c>
      <c r="G11" s="3" t="s">
        <v>9</v>
      </c>
      <c r="H11" s="5" t="s">
        <v>9</v>
      </c>
      <c r="I11" s="5">
        <f>E11</f>
        <v>94.600000000000009</v>
      </c>
      <c r="J11" s="5" t="s">
        <v>9</v>
      </c>
      <c r="K11" s="5" t="s">
        <v>9</v>
      </c>
      <c r="L11" s="5" t="s">
        <v>9</v>
      </c>
      <c r="M11" s="5" t="s">
        <v>9</v>
      </c>
    </row>
    <row r="12" spans="1:13" ht="24.75" customHeight="1" x14ac:dyDescent="0.25">
      <c r="A12" s="1" t="s">
        <v>15</v>
      </c>
      <c r="B12" s="2" t="s">
        <v>36</v>
      </c>
      <c r="C12" s="3">
        <v>0.2329</v>
      </c>
      <c r="D12" s="4" t="s">
        <v>9</v>
      </c>
      <c r="E12" s="5" t="s">
        <v>9</v>
      </c>
      <c r="F12" s="5" t="s">
        <v>9</v>
      </c>
      <c r="G12" s="5" t="s">
        <v>9</v>
      </c>
      <c r="H12" s="5" t="s">
        <v>9</v>
      </c>
      <c r="I12" s="5" t="s">
        <v>9</v>
      </c>
      <c r="J12" s="5" t="s">
        <v>9</v>
      </c>
      <c r="K12" s="5" t="s">
        <v>9</v>
      </c>
      <c r="L12" s="5" t="s">
        <v>9</v>
      </c>
      <c r="M12" s="5" t="s">
        <v>9</v>
      </c>
    </row>
    <row r="13" spans="1:13" ht="24.95" customHeight="1" x14ac:dyDescent="0.25">
      <c r="A13" s="1" t="s">
        <v>16</v>
      </c>
      <c r="B13" s="10" t="s">
        <v>35</v>
      </c>
      <c r="C13" s="3">
        <v>1.2398</v>
      </c>
      <c r="D13" s="4">
        <f>E13/C13/10000</f>
        <v>0.52435876754315214</v>
      </c>
      <c r="E13" s="5">
        <v>6501</v>
      </c>
      <c r="F13" s="5" t="s">
        <v>9</v>
      </c>
      <c r="G13" s="3" t="s">
        <v>9</v>
      </c>
      <c r="H13" s="5">
        <v>6501</v>
      </c>
      <c r="I13" s="3" t="s">
        <v>9</v>
      </c>
      <c r="J13" s="5" t="s">
        <v>9</v>
      </c>
      <c r="K13" s="5" t="s">
        <v>9</v>
      </c>
      <c r="L13" s="5" t="s">
        <v>9</v>
      </c>
      <c r="M13" s="5" t="s">
        <v>9</v>
      </c>
    </row>
    <row r="14" spans="1:13" ht="29.25" customHeight="1" x14ac:dyDescent="0.25">
      <c r="A14" s="1" t="s">
        <v>17</v>
      </c>
      <c r="B14" s="2" t="s">
        <v>49</v>
      </c>
      <c r="C14" s="3">
        <v>5.5999999999999999E-3</v>
      </c>
      <c r="D14" s="4">
        <v>0.53</v>
      </c>
      <c r="E14" s="5">
        <v>33</v>
      </c>
      <c r="F14" s="5" t="s">
        <v>9</v>
      </c>
      <c r="G14" s="5" t="s">
        <v>9</v>
      </c>
      <c r="H14" s="5"/>
      <c r="I14" s="5">
        <v>33</v>
      </c>
      <c r="J14" s="5" t="s">
        <v>9</v>
      </c>
      <c r="K14" s="5" t="s">
        <v>9</v>
      </c>
      <c r="L14" s="5" t="s">
        <v>9</v>
      </c>
      <c r="M14" s="5" t="s">
        <v>9</v>
      </c>
    </row>
    <row r="15" spans="1:13" ht="30" customHeight="1" x14ac:dyDescent="0.25">
      <c r="A15" s="1" t="s">
        <v>48</v>
      </c>
      <c r="B15" s="2" t="s">
        <v>49</v>
      </c>
      <c r="C15" s="3">
        <v>0.67049999999999998</v>
      </c>
      <c r="D15" s="4" t="s">
        <v>9</v>
      </c>
      <c r="E15" s="5" t="s">
        <v>9</v>
      </c>
      <c r="F15" s="5" t="s">
        <v>9</v>
      </c>
      <c r="G15" s="5" t="s">
        <v>9</v>
      </c>
      <c r="H15" s="5" t="s">
        <v>9</v>
      </c>
      <c r="I15" s="5" t="s">
        <v>9</v>
      </c>
      <c r="J15" s="5" t="s">
        <v>9</v>
      </c>
      <c r="K15" s="5" t="s">
        <v>9</v>
      </c>
      <c r="L15" s="5" t="s">
        <v>9</v>
      </c>
      <c r="M15" s="5" t="s">
        <v>9</v>
      </c>
    </row>
    <row r="16" spans="1:13" ht="24.95" customHeight="1" x14ac:dyDescent="0.25">
      <c r="A16" s="1" t="s">
        <v>47</v>
      </c>
      <c r="B16" s="2" t="s">
        <v>12</v>
      </c>
      <c r="C16" s="3">
        <v>0.433</v>
      </c>
      <c r="D16" s="4">
        <f t="shared" ref="D16:D28" si="0">E16/C16/10000</f>
        <v>0.22609699769053124</v>
      </c>
      <c r="E16" s="5">
        <f>890*1.1</f>
        <v>979.00000000000011</v>
      </c>
      <c r="F16" s="5" t="s">
        <v>9</v>
      </c>
      <c r="G16" s="5" t="s">
        <v>9</v>
      </c>
      <c r="H16" s="5" t="s">
        <v>9</v>
      </c>
      <c r="I16" s="5">
        <f>E16</f>
        <v>979.00000000000011</v>
      </c>
      <c r="J16" s="5" t="s">
        <v>9</v>
      </c>
      <c r="K16" s="5" t="s">
        <v>9</v>
      </c>
      <c r="L16" s="5" t="s">
        <v>9</v>
      </c>
      <c r="M16" s="5" t="s">
        <v>9</v>
      </c>
    </row>
    <row r="17" spans="1:13" ht="30" customHeight="1" x14ac:dyDescent="0.25">
      <c r="A17" s="1" t="s">
        <v>51</v>
      </c>
      <c r="B17" s="2" t="s">
        <v>49</v>
      </c>
      <c r="C17" s="3">
        <v>0.54810000000000003</v>
      </c>
      <c r="D17" s="4" t="s">
        <v>9</v>
      </c>
      <c r="E17" s="5" t="s">
        <v>9</v>
      </c>
      <c r="F17" s="5" t="s">
        <v>9</v>
      </c>
      <c r="G17" s="5" t="s">
        <v>9</v>
      </c>
      <c r="H17" s="5" t="s">
        <v>9</v>
      </c>
      <c r="I17" s="5" t="s">
        <v>9</v>
      </c>
      <c r="J17" s="5" t="s">
        <v>9</v>
      </c>
      <c r="K17" s="5" t="s">
        <v>9</v>
      </c>
      <c r="L17" s="5" t="s">
        <v>9</v>
      </c>
      <c r="M17" s="5" t="s">
        <v>9</v>
      </c>
    </row>
    <row r="18" spans="1:13" ht="28.5" customHeight="1" x14ac:dyDescent="0.25">
      <c r="A18" s="1" t="s">
        <v>52</v>
      </c>
      <c r="B18" s="2" t="s">
        <v>49</v>
      </c>
      <c r="C18" s="3">
        <v>0.3775</v>
      </c>
      <c r="D18" s="4" t="s">
        <v>9</v>
      </c>
      <c r="E18" s="5" t="s">
        <v>9</v>
      </c>
      <c r="F18" s="5" t="s">
        <v>9</v>
      </c>
      <c r="G18" s="5" t="s">
        <v>9</v>
      </c>
      <c r="H18" s="5" t="s">
        <v>9</v>
      </c>
      <c r="I18" s="5" t="s">
        <v>9</v>
      </c>
      <c r="J18" s="5" t="s">
        <v>9</v>
      </c>
      <c r="K18" s="5" t="s">
        <v>9</v>
      </c>
      <c r="L18" s="5" t="s">
        <v>9</v>
      </c>
      <c r="M18" s="5" t="s">
        <v>9</v>
      </c>
    </row>
    <row r="19" spans="1:13" ht="29.25" customHeight="1" x14ac:dyDescent="0.25">
      <c r="A19" s="1" t="s">
        <v>53</v>
      </c>
      <c r="B19" s="2" t="s">
        <v>49</v>
      </c>
      <c r="C19" s="3">
        <v>0.4037</v>
      </c>
      <c r="D19" s="4" t="s">
        <v>9</v>
      </c>
      <c r="E19" s="5" t="s">
        <v>9</v>
      </c>
      <c r="F19" s="5" t="s">
        <v>9</v>
      </c>
      <c r="G19" s="5" t="s">
        <v>9</v>
      </c>
      <c r="H19" s="5" t="s">
        <v>9</v>
      </c>
      <c r="I19" s="5" t="s">
        <v>9</v>
      </c>
      <c r="J19" s="5" t="s">
        <v>9</v>
      </c>
      <c r="K19" s="5" t="s">
        <v>9</v>
      </c>
      <c r="L19" s="5" t="s">
        <v>9</v>
      </c>
      <c r="M19" s="5" t="s">
        <v>9</v>
      </c>
    </row>
    <row r="20" spans="1:13" ht="24.95" customHeight="1" x14ac:dyDescent="0.25">
      <c r="A20" s="1" t="s">
        <v>54</v>
      </c>
      <c r="B20" s="2" t="s">
        <v>37</v>
      </c>
      <c r="C20" s="3">
        <v>0.71089999999999998</v>
      </c>
      <c r="D20" s="4" t="s">
        <v>9</v>
      </c>
      <c r="E20" s="5" t="s">
        <v>9</v>
      </c>
      <c r="F20" s="5" t="s">
        <v>9</v>
      </c>
      <c r="G20" s="5" t="s">
        <v>9</v>
      </c>
      <c r="H20" s="5" t="s">
        <v>9</v>
      </c>
      <c r="I20" s="5" t="str">
        <f>E20</f>
        <v>-</v>
      </c>
      <c r="J20" s="5" t="s">
        <v>9</v>
      </c>
      <c r="K20" s="5" t="s">
        <v>9</v>
      </c>
      <c r="L20" s="5" t="s">
        <v>9</v>
      </c>
      <c r="M20" s="5" t="s">
        <v>9</v>
      </c>
    </row>
    <row r="21" spans="1:13" ht="30" x14ac:dyDescent="0.25">
      <c r="A21" s="6" t="s">
        <v>50</v>
      </c>
      <c r="B21" s="2" t="s">
        <v>49</v>
      </c>
      <c r="C21" s="3">
        <v>2.6187999999999998</v>
      </c>
      <c r="D21" s="4" t="s">
        <v>9</v>
      </c>
      <c r="E21" s="5" t="s">
        <v>9</v>
      </c>
      <c r="F21" s="5" t="s">
        <v>9</v>
      </c>
      <c r="G21" s="5" t="s">
        <v>9</v>
      </c>
      <c r="H21" s="5" t="s">
        <v>9</v>
      </c>
      <c r="I21" s="5" t="s">
        <v>9</v>
      </c>
      <c r="J21" s="5" t="s">
        <v>9</v>
      </c>
      <c r="K21" s="5" t="s">
        <v>9</v>
      </c>
      <c r="L21" s="5" t="s">
        <v>9</v>
      </c>
      <c r="M21" s="5" t="s">
        <v>9</v>
      </c>
    </row>
    <row r="22" spans="1:13" ht="24.95" customHeight="1" x14ac:dyDescent="0.25">
      <c r="A22" s="1"/>
      <c r="B22" s="11" t="s">
        <v>18</v>
      </c>
      <c r="C22" s="37">
        <f>SUM(C23:C24)</f>
        <v>5.87</v>
      </c>
      <c r="D22" s="35">
        <f t="shared" si="0"/>
        <v>2.4872231686541739</v>
      </c>
      <c r="E22" s="36">
        <f>E23</f>
        <v>146000</v>
      </c>
      <c r="F22" s="36">
        <f>F23</f>
        <v>131400</v>
      </c>
      <c r="G22" s="36">
        <f>G23</f>
        <v>91980</v>
      </c>
      <c r="H22" s="36">
        <v>0</v>
      </c>
      <c r="I22" s="37">
        <v>0</v>
      </c>
      <c r="J22" s="36">
        <f>J23</f>
        <v>3066</v>
      </c>
      <c r="K22" s="37">
        <f>K23</f>
        <v>307</v>
      </c>
      <c r="L22" s="37">
        <f>L23</f>
        <v>245</v>
      </c>
      <c r="M22" s="37">
        <f>M23</f>
        <v>552</v>
      </c>
    </row>
    <row r="23" spans="1:13" ht="24.75" customHeight="1" x14ac:dyDescent="0.25">
      <c r="A23" s="29" t="s">
        <v>67</v>
      </c>
      <c r="B23" s="34" t="s">
        <v>33</v>
      </c>
      <c r="C23" s="31">
        <v>4.6900000000000004</v>
      </c>
      <c r="D23" s="32">
        <f>E23/C23/10000</f>
        <v>3.113006396588486</v>
      </c>
      <c r="E23" s="33">
        <v>146000</v>
      </c>
      <c r="F23" s="33">
        <f>E23*0.9</f>
        <v>131400</v>
      </c>
      <c r="G23" s="33">
        <f>F23*0.7</f>
        <v>91980</v>
      </c>
      <c r="H23" s="33" t="s">
        <v>9</v>
      </c>
      <c r="I23" s="31" t="s">
        <v>9</v>
      </c>
      <c r="J23" s="33">
        <v>3066</v>
      </c>
      <c r="K23" s="31">
        <v>307</v>
      </c>
      <c r="L23" s="31">
        <v>245</v>
      </c>
      <c r="M23" s="31">
        <f>L23+K23</f>
        <v>552</v>
      </c>
    </row>
    <row r="24" spans="1:13" ht="30.75" customHeight="1" x14ac:dyDescent="0.25">
      <c r="A24" s="29" t="s">
        <v>68</v>
      </c>
      <c r="B24" s="30" t="s">
        <v>64</v>
      </c>
      <c r="C24" s="31">
        <v>1.18</v>
      </c>
      <c r="D24" s="32" t="s">
        <v>9</v>
      </c>
      <c r="E24" s="33" t="s">
        <v>9</v>
      </c>
      <c r="F24" s="33" t="s">
        <v>9</v>
      </c>
      <c r="G24" s="33" t="s">
        <v>9</v>
      </c>
      <c r="H24" s="33" t="s">
        <v>9</v>
      </c>
      <c r="I24" s="33" t="s">
        <v>9</v>
      </c>
      <c r="J24" s="33" t="s">
        <v>9</v>
      </c>
      <c r="K24" s="33" t="s">
        <v>9</v>
      </c>
      <c r="L24" s="33" t="s">
        <v>9</v>
      </c>
      <c r="M24" s="33" t="s">
        <v>9</v>
      </c>
    </row>
    <row r="25" spans="1:13" ht="24.95" customHeight="1" x14ac:dyDescent="0.25">
      <c r="A25" s="1"/>
      <c r="B25" s="11" t="s">
        <v>19</v>
      </c>
      <c r="C25" s="14">
        <f>C26</f>
        <v>4.38</v>
      </c>
      <c r="D25" s="12">
        <f t="shared" si="0"/>
        <v>2.9908675799086759</v>
      </c>
      <c r="E25" s="13">
        <f>E26</f>
        <v>131000</v>
      </c>
      <c r="F25" s="13">
        <f>F26</f>
        <v>117900</v>
      </c>
      <c r="G25" s="13">
        <f>G26</f>
        <v>82530</v>
      </c>
      <c r="H25" s="13">
        <v>0</v>
      </c>
      <c r="I25" s="14">
        <v>0</v>
      </c>
      <c r="J25" s="13">
        <f>J26</f>
        <v>2432</v>
      </c>
      <c r="K25" s="14">
        <f>K26</f>
        <v>50</v>
      </c>
      <c r="L25" s="14">
        <f>L26</f>
        <v>50</v>
      </c>
      <c r="M25" s="14">
        <f>M26</f>
        <v>50</v>
      </c>
    </row>
    <row r="26" spans="1:13" ht="24.95" customHeight="1" x14ac:dyDescent="0.25">
      <c r="A26" s="1" t="s">
        <v>20</v>
      </c>
      <c r="B26" s="10" t="s">
        <v>33</v>
      </c>
      <c r="C26" s="3">
        <v>4.38</v>
      </c>
      <c r="D26" s="4">
        <f t="shared" si="0"/>
        <v>2.9908675799086759</v>
      </c>
      <c r="E26" s="5">
        <v>131000</v>
      </c>
      <c r="F26" s="5">
        <f>E26*0.9</f>
        <v>117900</v>
      </c>
      <c r="G26" s="5">
        <f>F26*0.7</f>
        <v>82530</v>
      </c>
      <c r="H26" s="5" t="s">
        <v>9</v>
      </c>
      <c r="I26" s="5" t="s">
        <v>9</v>
      </c>
      <c r="J26" s="5">
        <v>2432</v>
      </c>
      <c r="K26" s="3">
        <v>50</v>
      </c>
      <c r="L26" s="3">
        <v>50</v>
      </c>
      <c r="M26" s="3">
        <f>L26</f>
        <v>50</v>
      </c>
    </row>
    <row r="27" spans="1:13" ht="24.95" customHeight="1" x14ac:dyDescent="0.25">
      <c r="A27" s="15"/>
      <c r="B27" s="11" t="s">
        <v>21</v>
      </c>
      <c r="C27" s="14">
        <f xml:space="preserve"> SUM(C28:C30)</f>
        <v>5.64</v>
      </c>
      <c r="D27" s="12">
        <f>E27/C27/10000</f>
        <v>1.8434957446808513</v>
      </c>
      <c r="E27" s="13">
        <f>E28+E29</f>
        <v>103973.16</v>
      </c>
      <c r="F27" s="13">
        <f>F28</f>
        <v>87724.944000000003</v>
      </c>
      <c r="G27" s="13">
        <f>G28</f>
        <v>61407.460800000001</v>
      </c>
      <c r="H27" s="13">
        <f>H29</f>
        <v>6501</v>
      </c>
      <c r="I27" s="14">
        <v>0</v>
      </c>
      <c r="J27" s="13">
        <f>J28</f>
        <v>1886</v>
      </c>
      <c r="K27" s="14">
        <f>K28</f>
        <v>50</v>
      </c>
      <c r="L27" s="14">
        <f>L28</f>
        <v>54</v>
      </c>
      <c r="M27" s="14">
        <f>M28</f>
        <v>104</v>
      </c>
    </row>
    <row r="28" spans="1:13" ht="24.95" customHeight="1" x14ac:dyDescent="0.25">
      <c r="A28" s="1" t="s">
        <v>41</v>
      </c>
      <c r="B28" s="10" t="s">
        <v>33</v>
      </c>
      <c r="C28" s="3">
        <v>4.21</v>
      </c>
      <c r="D28" s="4">
        <f t="shared" si="0"/>
        <v>2.3152532066508318</v>
      </c>
      <c r="E28" s="5">
        <f>0.92*105948</f>
        <v>97472.16</v>
      </c>
      <c r="F28" s="5">
        <f>E28*0.9</f>
        <v>87724.944000000003</v>
      </c>
      <c r="G28" s="5">
        <f>F28*0.7</f>
        <v>61407.460800000001</v>
      </c>
      <c r="H28" s="5" t="s">
        <v>9</v>
      </c>
      <c r="I28" s="3" t="s">
        <v>9</v>
      </c>
      <c r="J28" s="5">
        <v>1886</v>
      </c>
      <c r="K28" s="3">
        <v>50</v>
      </c>
      <c r="L28" s="3">
        <v>54</v>
      </c>
      <c r="M28" s="3">
        <f>L28+K28</f>
        <v>104</v>
      </c>
    </row>
    <row r="29" spans="1:13" ht="24.95" customHeight="1" x14ac:dyDescent="0.25">
      <c r="A29" s="1" t="s">
        <v>42</v>
      </c>
      <c r="B29" s="10" t="s">
        <v>35</v>
      </c>
      <c r="C29" s="3">
        <v>1.18</v>
      </c>
      <c r="D29" s="4">
        <f>E29/C29/10000</f>
        <v>0.55093220338983051</v>
      </c>
      <c r="E29" s="5">
        <f>E13</f>
        <v>6501</v>
      </c>
      <c r="F29" s="5" t="s">
        <v>9</v>
      </c>
      <c r="G29" s="5" t="s">
        <v>9</v>
      </c>
      <c r="H29" s="5">
        <f>H13</f>
        <v>6501</v>
      </c>
      <c r="I29" s="3" t="s">
        <v>9</v>
      </c>
      <c r="J29" s="5" t="s">
        <v>9</v>
      </c>
      <c r="K29" s="5" t="s">
        <v>9</v>
      </c>
      <c r="L29" s="5" t="s">
        <v>9</v>
      </c>
      <c r="M29" s="5" t="s">
        <v>9</v>
      </c>
    </row>
    <row r="30" spans="1:13" ht="24.95" customHeight="1" x14ac:dyDescent="0.25">
      <c r="A30" s="1" t="s">
        <v>43</v>
      </c>
      <c r="B30" s="10" t="s">
        <v>36</v>
      </c>
      <c r="C30" s="3">
        <v>0.25</v>
      </c>
      <c r="D30" s="4" t="s">
        <v>9</v>
      </c>
      <c r="E30" s="5" t="s">
        <v>9</v>
      </c>
      <c r="F30" s="5" t="s">
        <v>9</v>
      </c>
      <c r="G30" s="5" t="s">
        <v>9</v>
      </c>
      <c r="H30" s="5" t="s">
        <v>9</v>
      </c>
      <c r="I30" s="3" t="s">
        <v>9</v>
      </c>
      <c r="J30" s="5" t="s">
        <v>9</v>
      </c>
      <c r="K30" s="5" t="s">
        <v>9</v>
      </c>
      <c r="L30" s="5" t="s">
        <v>9</v>
      </c>
      <c r="M30" s="5" t="s">
        <v>9</v>
      </c>
    </row>
    <row r="31" spans="1:13" s="16" customFormat="1" ht="24.95" customHeight="1" x14ac:dyDescent="0.25">
      <c r="A31" s="1"/>
      <c r="B31" s="11" t="s">
        <v>22</v>
      </c>
      <c r="C31" s="14">
        <f>C32</f>
        <v>1.95</v>
      </c>
      <c r="D31" s="12">
        <f t="shared" ref="D31:D45" si="1">E31/C31/10000</f>
        <v>2.2317948717948717</v>
      </c>
      <c r="E31" s="13">
        <f>E32</f>
        <v>43520</v>
      </c>
      <c r="F31" s="13">
        <f>F32</f>
        <v>39168</v>
      </c>
      <c r="G31" s="13">
        <f>G32</f>
        <v>27417.599999999999</v>
      </c>
      <c r="H31" s="13">
        <v>0</v>
      </c>
      <c r="I31" s="14">
        <v>0</v>
      </c>
      <c r="J31" s="13">
        <f>J32</f>
        <v>913.92</v>
      </c>
      <c r="K31" s="14">
        <f>K32</f>
        <v>131</v>
      </c>
      <c r="L31" s="14">
        <f>L32</f>
        <v>72</v>
      </c>
      <c r="M31" s="14">
        <f>SUM(K31:L31)</f>
        <v>203</v>
      </c>
    </row>
    <row r="32" spans="1:13" ht="24.95" customHeight="1" x14ac:dyDescent="0.25">
      <c r="A32" s="1" t="s">
        <v>25</v>
      </c>
      <c r="B32" s="2" t="s">
        <v>33</v>
      </c>
      <c r="C32" s="3">
        <v>1.95</v>
      </c>
      <c r="D32" s="4">
        <f t="shared" si="1"/>
        <v>2.2317948717948717</v>
      </c>
      <c r="E32" s="5">
        <v>43520</v>
      </c>
      <c r="F32" s="5">
        <f>E32*0.9</f>
        <v>39168</v>
      </c>
      <c r="G32" s="5">
        <f>F32*0.7</f>
        <v>27417.599999999999</v>
      </c>
      <c r="H32" s="5" t="s">
        <v>9</v>
      </c>
      <c r="I32" s="3" t="s">
        <v>9</v>
      </c>
      <c r="J32" s="5">
        <f>G32/30</f>
        <v>913.92</v>
      </c>
      <c r="K32" s="3">
        <v>131</v>
      </c>
      <c r="L32" s="3">
        <v>72</v>
      </c>
      <c r="M32" s="3">
        <f>SUM(K32:L32)</f>
        <v>203</v>
      </c>
    </row>
    <row r="33" spans="1:13" ht="30" x14ac:dyDescent="0.25">
      <c r="A33" s="6" t="s">
        <v>26</v>
      </c>
      <c r="B33" s="2" t="s">
        <v>49</v>
      </c>
      <c r="C33" s="3">
        <v>1.93</v>
      </c>
      <c r="D33" s="4" t="s">
        <v>9</v>
      </c>
      <c r="E33" s="5" t="s">
        <v>9</v>
      </c>
      <c r="F33" s="5" t="s">
        <v>9</v>
      </c>
      <c r="G33" s="5" t="s">
        <v>9</v>
      </c>
      <c r="H33" s="5" t="s">
        <v>9</v>
      </c>
      <c r="I33" s="3" t="s">
        <v>9</v>
      </c>
      <c r="J33" s="5" t="s">
        <v>9</v>
      </c>
      <c r="K33" s="5" t="s">
        <v>9</v>
      </c>
      <c r="L33" s="5" t="s">
        <v>9</v>
      </c>
      <c r="M33" s="5" t="s">
        <v>9</v>
      </c>
    </row>
    <row r="34" spans="1:13" s="16" customFormat="1" ht="24.95" customHeight="1" x14ac:dyDescent="0.25">
      <c r="A34" s="6"/>
      <c r="B34" s="17" t="s">
        <v>27</v>
      </c>
      <c r="C34" s="14">
        <f>SUM(C35:C36)</f>
        <v>2.8795000000000002</v>
      </c>
      <c r="D34" s="12">
        <f>E34/C34/10000</f>
        <v>0.45153672512588994</v>
      </c>
      <c r="E34" s="13">
        <f>E35+E36</f>
        <v>13002</v>
      </c>
      <c r="F34" s="13">
        <v>0</v>
      </c>
      <c r="G34" s="3">
        <v>0</v>
      </c>
      <c r="H34" s="13">
        <f>H35+H36</f>
        <v>13002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</row>
    <row r="35" spans="1:13" ht="24.95" customHeight="1" x14ac:dyDescent="0.25">
      <c r="A35" s="1" t="s">
        <v>23</v>
      </c>
      <c r="B35" s="10" t="s">
        <v>35</v>
      </c>
      <c r="C35" s="3">
        <v>1.3962000000000001</v>
      </c>
      <c r="D35" s="4">
        <f>E35/C35/10000</f>
        <v>0.46562097120756335</v>
      </c>
      <c r="E35" s="5">
        <f>E13</f>
        <v>6501</v>
      </c>
      <c r="F35" s="5" t="s">
        <v>9</v>
      </c>
      <c r="G35" s="3" t="s">
        <v>9</v>
      </c>
      <c r="H35" s="5">
        <v>6501</v>
      </c>
      <c r="I35" s="3" t="s">
        <v>9</v>
      </c>
      <c r="J35" s="3" t="s">
        <v>9</v>
      </c>
      <c r="K35" s="3" t="s">
        <v>9</v>
      </c>
      <c r="L35" s="3" t="s">
        <v>9</v>
      </c>
      <c r="M35" s="3" t="s">
        <v>9</v>
      </c>
    </row>
    <row r="36" spans="1:13" ht="24.95" customHeight="1" x14ac:dyDescent="0.25">
      <c r="A36" s="1" t="s">
        <v>24</v>
      </c>
      <c r="B36" s="10" t="s">
        <v>35</v>
      </c>
      <c r="C36" s="3">
        <v>1.4833000000000001</v>
      </c>
      <c r="D36" s="4">
        <f>E36/C36/10000</f>
        <v>0.43827951189914377</v>
      </c>
      <c r="E36" s="5">
        <f>E35</f>
        <v>6501</v>
      </c>
      <c r="F36" s="5" t="s">
        <v>9</v>
      </c>
      <c r="G36" s="3" t="s">
        <v>9</v>
      </c>
      <c r="H36" s="5">
        <f>H35</f>
        <v>6501</v>
      </c>
      <c r="I36" s="3" t="s">
        <v>9</v>
      </c>
      <c r="J36" s="3" t="s">
        <v>9</v>
      </c>
      <c r="K36" s="3" t="s">
        <v>9</v>
      </c>
      <c r="L36" s="3" t="s">
        <v>9</v>
      </c>
      <c r="M36" s="3" t="s">
        <v>9</v>
      </c>
    </row>
    <row r="37" spans="1:13" ht="24.95" customHeight="1" x14ac:dyDescent="0.25">
      <c r="A37" s="15"/>
      <c r="B37" s="11" t="s">
        <v>28</v>
      </c>
      <c r="C37" s="37">
        <f>SUM(C38:C43)</f>
        <v>9.3972000000000016</v>
      </c>
      <c r="D37" s="35">
        <f t="shared" si="1"/>
        <v>1.6911756693483162</v>
      </c>
      <c r="E37" s="36">
        <f>SUM(E38:E43)</f>
        <v>158923.16</v>
      </c>
      <c r="F37" s="36">
        <f>SUM(F38:F43)</f>
        <v>118179</v>
      </c>
      <c r="G37" s="36">
        <f>SUM(G38:G43)</f>
        <v>82725.299999999988</v>
      </c>
      <c r="H37" s="42">
        <f>SUM(H39)</f>
        <v>27505</v>
      </c>
      <c r="I37" s="36">
        <f>SUM(I40:I41)</f>
        <v>1004.0000000000001</v>
      </c>
      <c r="J37" s="36">
        <f>SUM(J38:J43)</f>
        <v>2191.0074999999997</v>
      </c>
      <c r="K37" s="37">
        <f>SUM(K38:K43)</f>
        <v>231</v>
      </c>
      <c r="L37" s="37">
        <f>SUM(L38:L43)</f>
        <v>174</v>
      </c>
      <c r="M37" s="37">
        <f>SUM(M38:M43)</f>
        <v>405</v>
      </c>
    </row>
    <row r="38" spans="1:13" ht="24.95" customHeight="1" x14ac:dyDescent="0.25">
      <c r="A38" s="29" t="s">
        <v>29</v>
      </c>
      <c r="B38" s="34" t="s">
        <v>33</v>
      </c>
      <c r="C38" s="31">
        <v>2.84</v>
      </c>
      <c r="D38" s="32">
        <f t="shared" ref="D38:D40" si="2">E38/C38/10000</f>
        <v>2.5637323943661974</v>
      </c>
      <c r="E38" s="33">
        <v>72810</v>
      </c>
      <c r="F38" s="33">
        <f t="shared" ref="F38" si="3">E38*0.9</f>
        <v>65529</v>
      </c>
      <c r="G38" s="33">
        <f t="shared" ref="G38" si="4">F38*0.7</f>
        <v>45870.299999999996</v>
      </c>
      <c r="H38" s="33" t="s">
        <v>9</v>
      </c>
      <c r="I38" s="31" t="s">
        <v>9</v>
      </c>
      <c r="J38" s="33">
        <f t="shared" ref="J38" si="5">G38/40</f>
        <v>1146.7574999999999</v>
      </c>
      <c r="K38" s="31">
        <v>118</v>
      </c>
      <c r="L38" s="31">
        <v>90</v>
      </c>
      <c r="M38" s="31">
        <f t="shared" ref="M38" si="6">SUM(K38:L38)</f>
        <v>208</v>
      </c>
    </row>
    <row r="39" spans="1:13" ht="31.5" customHeight="1" x14ac:dyDescent="0.25">
      <c r="A39" s="1" t="s">
        <v>30</v>
      </c>
      <c r="B39" s="2" t="s">
        <v>38</v>
      </c>
      <c r="C39" s="8">
        <v>3.9</v>
      </c>
      <c r="D39" s="18">
        <f t="shared" si="2"/>
        <v>0.68228615384615388</v>
      </c>
      <c r="E39" s="19">
        <f>0.92*28923</f>
        <v>26609.16</v>
      </c>
      <c r="F39" s="19" t="s">
        <v>9</v>
      </c>
      <c r="G39" s="3" t="s">
        <v>9</v>
      </c>
      <c r="H39" s="19">
        <v>27505</v>
      </c>
      <c r="I39" s="8" t="s">
        <v>9</v>
      </c>
      <c r="J39" s="19" t="s">
        <v>9</v>
      </c>
      <c r="K39" s="19">
        <v>8</v>
      </c>
      <c r="L39" s="19" t="s">
        <v>9</v>
      </c>
      <c r="M39" s="19">
        <f>K39</f>
        <v>8</v>
      </c>
    </row>
    <row r="40" spans="1:13" ht="24.95" customHeight="1" x14ac:dyDescent="0.25">
      <c r="A40" s="29" t="s">
        <v>69</v>
      </c>
      <c r="B40" s="30" t="s">
        <v>12</v>
      </c>
      <c r="C40" s="31">
        <v>0.14000000000000001</v>
      </c>
      <c r="D40" s="32">
        <f t="shared" si="2"/>
        <v>0.69928571428571429</v>
      </c>
      <c r="E40" s="33">
        <f>890*1.1</f>
        <v>979.00000000000011</v>
      </c>
      <c r="F40" s="33" t="s">
        <v>9</v>
      </c>
      <c r="G40" s="33" t="s">
        <v>9</v>
      </c>
      <c r="H40" s="33" t="s">
        <v>9</v>
      </c>
      <c r="I40" s="33">
        <f>E40</f>
        <v>979.00000000000011</v>
      </c>
      <c r="J40" s="33" t="s">
        <v>9</v>
      </c>
      <c r="K40" s="33" t="s">
        <v>9</v>
      </c>
      <c r="L40" s="33" t="s">
        <v>9</v>
      </c>
      <c r="M40" s="33" t="s">
        <v>9</v>
      </c>
    </row>
    <row r="41" spans="1:13" ht="24.95" customHeight="1" x14ac:dyDescent="0.25">
      <c r="A41" s="29" t="s">
        <v>70</v>
      </c>
      <c r="B41" s="34" t="s">
        <v>34</v>
      </c>
      <c r="C41" s="31">
        <v>7.1999999999999998E-3</v>
      </c>
      <c r="D41" s="32">
        <v>0.47</v>
      </c>
      <c r="E41" s="33">
        <v>25</v>
      </c>
      <c r="F41" s="33" t="s">
        <v>9</v>
      </c>
      <c r="G41" s="31" t="s">
        <v>9</v>
      </c>
      <c r="H41" s="33" t="s">
        <v>9</v>
      </c>
      <c r="I41" s="33">
        <f>E41</f>
        <v>25</v>
      </c>
      <c r="J41" s="33" t="s">
        <v>9</v>
      </c>
      <c r="K41" s="33" t="s">
        <v>9</v>
      </c>
      <c r="L41" s="33" t="s">
        <v>9</v>
      </c>
      <c r="M41" s="33" t="s">
        <v>9</v>
      </c>
    </row>
    <row r="42" spans="1:13" ht="24.95" customHeight="1" x14ac:dyDescent="0.25">
      <c r="A42" s="29" t="s">
        <v>71</v>
      </c>
      <c r="B42" s="34" t="s">
        <v>33</v>
      </c>
      <c r="C42" s="31">
        <v>1.1200000000000001</v>
      </c>
      <c r="D42" s="32">
        <f t="shared" si="1"/>
        <v>2.0982142857142856</v>
      </c>
      <c r="E42" s="33">
        <v>23500</v>
      </c>
      <c r="F42" s="33">
        <f>E42*0.9</f>
        <v>21150</v>
      </c>
      <c r="G42" s="33">
        <f>F42*0.7</f>
        <v>14804.999999999998</v>
      </c>
      <c r="H42" s="33" t="s">
        <v>9</v>
      </c>
      <c r="I42" s="31" t="s">
        <v>9</v>
      </c>
      <c r="J42" s="33">
        <v>493</v>
      </c>
      <c r="K42" s="31">
        <v>50</v>
      </c>
      <c r="L42" s="31">
        <v>40</v>
      </c>
      <c r="M42" s="31">
        <f>SUM(K42:L42)</f>
        <v>90</v>
      </c>
    </row>
    <row r="43" spans="1:13" ht="24.95" customHeight="1" x14ac:dyDescent="0.25">
      <c r="A43" s="29" t="s">
        <v>72</v>
      </c>
      <c r="B43" s="34" t="s">
        <v>33</v>
      </c>
      <c r="C43" s="31">
        <v>1.39</v>
      </c>
      <c r="D43" s="32">
        <f t="shared" si="1"/>
        <v>2.5179856115107917</v>
      </c>
      <c r="E43" s="33">
        <v>35000</v>
      </c>
      <c r="F43" s="33">
        <f>E43*0.9</f>
        <v>31500</v>
      </c>
      <c r="G43" s="33">
        <f>F43*0.7</f>
        <v>22050</v>
      </c>
      <c r="H43" s="33" t="s">
        <v>9</v>
      </c>
      <c r="I43" s="31" t="s">
        <v>9</v>
      </c>
      <c r="J43" s="33">
        <f>G43/40</f>
        <v>551.25</v>
      </c>
      <c r="K43" s="31">
        <v>55</v>
      </c>
      <c r="L43" s="31">
        <v>44</v>
      </c>
      <c r="M43" s="31">
        <f>SUM(K43:L43)</f>
        <v>99</v>
      </c>
    </row>
    <row r="44" spans="1:13" s="16" customFormat="1" ht="24.95" customHeight="1" x14ac:dyDescent="0.25">
      <c r="A44" s="1"/>
      <c r="B44" s="11" t="s">
        <v>31</v>
      </c>
      <c r="C44" s="14">
        <f>C45</f>
        <v>17.09</v>
      </c>
      <c r="D44" s="12">
        <f t="shared" si="1"/>
        <v>2.007225746050322</v>
      </c>
      <c r="E44" s="13">
        <f>E45</f>
        <v>343034.88</v>
      </c>
      <c r="F44" s="13">
        <f>F45</f>
        <v>308731.39199999999</v>
      </c>
      <c r="G44" s="13">
        <f>G45</f>
        <v>216111.97439999998</v>
      </c>
      <c r="H44" s="13">
        <v>0</v>
      </c>
      <c r="I44" s="14">
        <v>0</v>
      </c>
      <c r="J44" s="13">
        <f>J45</f>
        <v>5402.7993599999991</v>
      </c>
      <c r="K44" s="14">
        <f>K45</f>
        <v>0</v>
      </c>
      <c r="L44" s="14">
        <f>L45</f>
        <v>273</v>
      </c>
      <c r="M44" s="14">
        <f>L44</f>
        <v>273</v>
      </c>
    </row>
    <row r="45" spans="1:13" ht="24.95" customHeight="1" x14ac:dyDescent="0.25">
      <c r="A45" s="1" t="s">
        <v>32</v>
      </c>
      <c r="B45" s="10" t="s">
        <v>33</v>
      </c>
      <c r="C45" s="3">
        <v>17.09</v>
      </c>
      <c r="D45" s="4">
        <f t="shared" si="1"/>
        <v>2.007225746050322</v>
      </c>
      <c r="E45" s="5">
        <f>0.92*372864</f>
        <v>343034.88</v>
      </c>
      <c r="F45" s="5">
        <f>E45*0.9</f>
        <v>308731.39199999999</v>
      </c>
      <c r="G45" s="5">
        <f>F45*0.7</f>
        <v>216111.97439999998</v>
      </c>
      <c r="H45" s="5" t="s">
        <v>9</v>
      </c>
      <c r="I45" s="3" t="s">
        <v>9</v>
      </c>
      <c r="J45" s="5">
        <f>G45/40</f>
        <v>5402.7993599999991</v>
      </c>
      <c r="K45" s="3">
        <v>0</v>
      </c>
      <c r="L45" s="3">
        <v>273</v>
      </c>
      <c r="M45" s="3">
        <f>L45</f>
        <v>273</v>
      </c>
    </row>
    <row r="46" spans="1:13" ht="38.25" customHeight="1" x14ac:dyDescent="0.25">
      <c r="A46" s="22"/>
      <c r="B46" s="23" t="s">
        <v>45</v>
      </c>
      <c r="C46" s="24">
        <v>45.02</v>
      </c>
      <c r="D46" s="25" t="s">
        <v>9</v>
      </c>
      <c r="E46" s="26" t="s">
        <v>9</v>
      </c>
      <c r="F46" s="26" t="s">
        <v>9</v>
      </c>
      <c r="G46" s="27" t="s">
        <v>9</v>
      </c>
      <c r="H46" s="26" t="s">
        <v>9</v>
      </c>
      <c r="I46" s="27" t="s">
        <v>9</v>
      </c>
      <c r="J46" s="26" t="s">
        <v>9</v>
      </c>
      <c r="K46" s="28">
        <v>0</v>
      </c>
      <c r="L46" s="28">
        <v>600</v>
      </c>
      <c r="M46" s="28">
        <v>600</v>
      </c>
    </row>
    <row r="47" spans="1:13" ht="37.5" customHeight="1" x14ac:dyDescent="0.25">
      <c r="A47" s="22"/>
      <c r="B47" s="38" t="s">
        <v>44</v>
      </c>
      <c r="C47" s="40">
        <f>SUM(C46,C44,C37,C34,C31,C27,C25,C22,C6)</f>
        <v>102.9237</v>
      </c>
      <c r="D47" s="40">
        <f>E47/C47/10000</f>
        <v>1.0424671868578375</v>
      </c>
      <c r="E47" s="41">
        <f>SUM(E6,E22,E25,E27,E31,E34,E37,E44)</f>
        <v>1072945.8</v>
      </c>
      <c r="F47" s="41">
        <f>SUM(F6,F22,F25,F27,F31,F37,F44)</f>
        <v>865077.33600000001</v>
      </c>
      <c r="G47" s="41">
        <f>SUM(G6,G22,G25,G27,G31,G37,G44)</f>
        <v>627869.33519999997</v>
      </c>
      <c r="H47" s="41">
        <f>H37+H34+H6+H27</f>
        <v>53509</v>
      </c>
      <c r="I47" s="41">
        <f>SUM(I44,I37,I6)</f>
        <v>2135.6000000000004</v>
      </c>
      <c r="J47" s="41">
        <f>SUM(J6,J22,J25,J27,J31,J37,J44)</f>
        <v>18081.626859999997</v>
      </c>
      <c r="K47" s="41">
        <f>SUM(K6,K22,K25,K27,K31,K37)</f>
        <v>976</v>
      </c>
      <c r="L47" s="39">
        <f>SUM(L6,L22,L25,L27,L31,L37,L44,L46)</f>
        <v>1641</v>
      </c>
      <c r="M47" s="39">
        <f>SUM(M46+M44+M37+M34+M31+M27+M22+M6)</f>
        <v>2517</v>
      </c>
    </row>
    <row r="48" spans="1:13" ht="20.100000000000001" customHeight="1" x14ac:dyDescent="0.25">
      <c r="A48" s="20"/>
    </row>
    <row r="49" spans="1:13" x14ac:dyDescent="0.25">
      <c r="A49" s="46" t="s">
        <v>59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1:13" ht="34.5" customHeight="1" x14ac:dyDescent="0.25">
      <c r="A50" s="47" t="s">
        <v>65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</row>
    <row r="51" spans="1:13" ht="20.100000000000001" customHeight="1" x14ac:dyDescent="0.25">
      <c r="A51" s="20"/>
    </row>
    <row r="52" spans="1:13" ht="20.100000000000001" customHeight="1" x14ac:dyDescent="0.25"/>
    <row r="53" spans="1:13" ht="20.100000000000001" customHeight="1" x14ac:dyDescent="0.25">
      <c r="E53" s="21"/>
    </row>
    <row r="54" spans="1:13" ht="20.100000000000001" customHeight="1" x14ac:dyDescent="0.25"/>
    <row r="55" spans="1:13" ht="20.100000000000001" customHeight="1" x14ac:dyDescent="0.25"/>
    <row r="56" spans="1:13" ht="20.100000000000001" customHeight="1" x14ac:dyDescent="0.25"/>
    <row r="57" spans="1:13" ht="20.100000000000001" customHeight="1" x14ac:dyDescent="0.25"/>
    <row r="58" spans="1:13" ht="20.100000000000001" customHeight="1" x14ac:dyDescent="0.25"/>
    <row r="59" spans="1:13" ht="20.100000000000001" customHeight="1" x14ac:dyDescent="0.25"/>
    <row r="60" spans="1:13" ht="20.100000000000001" customHeight="1" x14ac:dyDescent="0.25"/>
    <row r="61" spans="1:13" ht="20.100000000000001" customHeight="1" x14ac:dyDescent="0.25"/>
    <row r="62" spans="1:13" ht="20.100000000000001" customHeight="1" x14ac:dyDescent="0.25"/>
    <row r="63" spans="1:13" ht="20.100000000000001" customHeight="1" x14ac:dyDescent="0.25"/>
    <row r="64" spans="1:13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</sheetData>
  <mergeCells count="18">
    <mergeCell ref="L4:L5"/>
    <mergeCell ref="M4:M5"/>
    <mergeCell ref="K3:M3"/>
    <mergeCell ref="A49:M49"/>
    <mergeCell ref="A50:M50"/>
    <mergeCell ref="A1:M1"/>
    <mergeCell ref="L2:M2"/>
    <mergeCell ref="A3:A5"/>
    <mergeCell ref="B3:B5"/>
    <mergeCell ref="C3:C5"/>
    <mergeCell ref="D3:D5"/>
    <mergeCell ref="E3:E5"/>
    <mergeCell ref="F4:G4"/>
    <mergeCell ref="H4:H5"/>
    <mergeCell ref="F3:I3"/>
    <mergeCell ref="I4:I5"/>
    <mergeCell ref="J3:J5"/>
    <mergeCell ref="K4:K5"/>
  </mergeCells>
  <phoneticPr fontId="5" type="noConversion"/>
  <pageMargins left="0.7" right="0.7" top="0.75" bottom="0.75" header="0.3" footer="0.3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Спиридонов Владимир Юрьевич</cp:lastModifiedBy>
  <cp:lastPrinted>2024-06-20T05:53:32Z</cp:lastPrinted>
  <dcterms:created xsi:type="dcterms:W3CDTF">2017-08-31T08:57:04Z</dcterms:created>
  <dcterms:modified xsi:type="dcterms:W3CDTF">2024-07-04T05:38:06Z</dcterms:modified>
</cp:coreProperties>
</file>